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Home\Will\Projects\Tensegrity Assemblies\CAD Designs\V4\"/>
    </mc:Choice>
  </mc:AlternateContent>
  <xr:revisionPtr revIDLastSave="0" documentId="13_ncr:1_{D8E2858C-A63A-4D2B-8D95-B1F3F3B188CB}" xr6:coauthVersionLast="47" xr6:coauthVersionMax="47" xr10:uidLastSave="{00000000-0000-0000-0000-000000000000}"/>
  <bookViews>
    <workbookView xWindow="-120" yWindow="-120" windowWidth="29040" windowHeight="15720" activeTab="1" xr2:uid="{08906C1C-29A8-41F4-8A57-134CDB3FB714}"/>
  </bookViews>
  <sheets>
    <sheet name="Robots" sheetId="1" r:id="rId1"/>
    <sheet name="Components" sheetId="3" r:id="rId2"/>
    <sheet name="Discounts" sheetId="6" r:id="rId3"/>
    <sheet name="In-house" sheetId="5" r:id="rId4"/>
    <sheet name="Supplies" sheetId="2" r:id="rId5"/>
    <sheet name="Totals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3" l="1"/>
  <c r="K31" i="3" s="1"/>
  <c r="G31" i="3"/>
  <c r="I31" i="3"/>
  <c r="H31" i="3"/>
  <c r="J30" i="3"/>
  <c r="K30" i="3" s="1"/>
  <c r="H30" i="3"/>
  <c r="I30" i="3" s="1"/>
  <c r="G30" i="3"/>
  <c r="H15" i="3"/>
  <c r="K15" i="3" s="1"/>
  <c r="G15" i="3"/>
  <c r="J15" i="3"/>
  <c r="E6" i="2"/>
  <c r="E8" i="2"/>
  <c r="E9" i="2"/>
  <c r="E11" i="2"/>
  <c r="E12" i="2"/>
  <c r="G29" i="3"/>
  <c r="G6" i="3"/>
  <c r="E5" i="2"/>
  <c r="E4" i="2"/>
  <c r="B5" i="4" s="1"/>
  <c r="E3" i="2"/>
  <c r="E2" i="2"/>
  <c r="J28" i="3"/>
  <c r="G28" i="3"/>
  <c r="G27" i="3"/>
  <c r="G26" i="3"/>
  <c r="G25" i="3"/>
  <c r="G24" i="3"/>
  <c r="G23" i="3"/>
  <c r="G22" i="3"/>
  <c r="G21" i="3"/>
  <c r="G20" i="3"/>
  <c r="G19" i="3"/>
  <c r="G18" i="3"/>
  <c r="G17" i="3"/>
  <c r="G9" i="3"/>
  <c r="G16" i="3"/>
  <c r="G14" i="3"/>
  <c r="J14" i="3"/>
  <c r="G13" i="3"/>
  <c r="J13" i="3"/>
  <c r="G12" i="3"/>
  <c r="J12" i="3"/>
  <c r="J11" i="3"/>
  <c r="G11" i="3"/>
  <c r="J10" i="3"/>
  <c r="J2" i="3"/>
  <c r="J5" i="3"/>
  <c r="G10" i="3"/>
  <c r="J8" i="3"/>
  <c r="G2" i="3"/>
  <c r="G3" i="3"/>
  <c r="G4" i="3"/>
  <c r="G5" i="3"/>
  <c r="G7" i="3"/>
  <c r="G8" i="3"/>
  <c r="H1" i="1"/>
  <c r="H8" i="3" s="1"/>
  <c r="I8" i="3" s="1"/>
  <c r="I15" i="3" l="1"/>
  <c r="H29" i="3"/>
  <c r="I29" i="3" s="1"/>
  <c r="D6" i="5"/>
  <c r="H10" i="3"/>
  <c r="H17" i="3"/>
  <c r="D5" i="5"/>
  <c r="D8" i="5"/>
  <c r="E8" i="5" s="1"/>
  <c r="H9" i="3"/>
  <c r="H16" i="3"/>
  <c r="H28" i="3"/>
  <c r="I28" i="3" s="1"/>
  <c r="D4" i="5"/>
  <c r="H20" i="3"/>
  <c r="H19" i="3"/>
  <c r="D7" i="5"/>
  <c r="E7" i="5" s="1"/>
  <c r="H18" i="3"/>
  <c r="H27" i="3"/>
  <c r="D3" i="5"/>
  <c r="H14" i="3"/>
  <c r="H11" i="3"/>
  <c r="H12" i="3"/>
  <c r="H24" i="3"/>
  <c r="B1" i="4"/>
  <c r="H23" i="3"/>
  <c r="H6" i="3"/>
  <c r="I6" i="3" s="1"/>
  <c r="H26" i="3"/>
  <c r="H13" i="3"/>
  <c r="H25" i="3"/>
  <c r="H22" i="3"/>
  <c r="D2" i="5"/>
  <c r="H21" i="3"/>
  <c r="D9" i="5"/>
  <c r="B2" i="4"/>
  <c r="K8" i="3"/>
  <c r="H5" i="3"/>
  <c r="H2" i="3"/>
  <c r="H3" i="3"/>
  <c r="H4" i="3"/>
  <c r="I4" i="3" s="1"/>
  <c r="H7" i="3"/>
  <c r="I7" i="3" s="1"/>
  <c r="I3" i="3" l="1"/>
  <c r="J3" i="3"/>
  <c r="K28" i="3"/>
  <c r="J26" i="3"/>
  <c r="K26" i="3" s="1"/>
  <c r="I26" i="3"/>
  <c r="K2" i="3"/>
  <c r="I2" i="3"/>
  <c r="J19" i="3"/>
  <c r="K19" i="3" s="1"/>
  <c r="I19" i="3"/>
  <c r="K5" i="3"/>
  <c r="I5" i="3"/>
  <c r="J23" i="3"/>
  <c r="K23" i="3" s="1"/>
  <c r="I23" i="3"/>
  <c r="J20" i="3"/>
  <c r="K20" i="3" s="1"/>
  <c r="I20" i="3"/>
  <c r="J24" i="3"/>
  <c r="K24" i="3" s="1"/>
  <c r="I24" i="3"/>
  <c r="K10" i="3"/>
  <c r="I10" i="3"/>
  <c r="K12" i="3"/>
  <c r="I12" i="3"/>
  <c r="J16" i="3"/>
  <c r="K16" i="3" s="1"/>
  <c r="I16" i="3"/>
  <c r="K11" i="3"/>
  <c r="I11" i="3"/>
  <c r="J9" i="3"/>
  <c r="K9" i="3" s="1"/>
  <c r="I9" i="3"/>
  <c r="J21" i="3"/>
  <c r="K21" i="3" s="1"/>
  <c r="I21" i="3"/>
  <c r="K14" i="3"/>
  <c r="I14" i="3"/>
  <c r="J22" i="3"/>
  <c r="K22" i="3" s="1"/>
  <c r="I22" i="3"/>
  <c r="J27" i="3"/>
  <c r="K27" i="3" s="1"/>
  <c r="I27" i="3"/>
  <c r="J17" i="3"/>
  <c r="K17" i="3" s="1"/>
  <c r="I17" i="3"/>
  <c r="J25" i="3"/>
  <c r="K25" i="3" s="1"/>
  <c r="I25" i="3"/>
  <c r="K13" i="3"/>
  <c r="I13" i="3"/>
  <c r="J18" i="3"/>
  <c r="K18" i="3" s="1"/>
  <c r="I18" i="3"/>
  <c r="J29" i="3"/>
  <c r="K29" i="3" s="1"/>
  <c r="J6" i="3"/>
  <c r="K6" i="3" s="1"/>
  <c r="J7" i="3"/>
  <c r="K7" i="3" s="1"/>
  <c r="B7" i="4" s="1"/>
  <c r="J4" i="3"/>
  <c r="K4" i="3" s="1"/>
  <c r="K3" i="3"/>
  <c r="B8" i="4" l="1"/>
  <c r="B10" i="4"/>
  <c r="B6" i="4"/>
  <c r="B9" i="4"/>
  <c r="B3" i="4"/>
  <c r="B4" i="4" s="1"/>
</calcChain>
</file>

<file path=xl/sharedStrings.xml><?xml version="1.0" encoding="utf-8"?>
<sst xmlns="http://schemas.openxmlformats.org/spreadsheetml/2006/main" count="183" uniqueCount="122">
  <si>
    <t>Number of Bars</t>
  </si>
  <si>
    <t>Number of Robots</t>
  </si>
  <si>
    <t>OR</t>
  </si>
  <si>
    <t>Total Number of Bars</t>
  </si>
  <si>
    <t>&lt;-- EDIT HERE</t>
  </si>
  <si>
    <t>NOT HERE --&gt;</t>
  </si>
  <si>
    <t>Description</t>
  </si>
  <si>
    <t>Vendor</t>
  </si>
  <si>
    <t>Ct. per pack</t>
  </si>
  <si>
    <t>Unit Price</t>
  </si>
  <si>
    <t>Total Price</t>
  </si>
  <si>
    <t>Notes</t>
  </si>
  <si>
    <t>Per Bar Quantity</t>
  </si>
  <si>
    <t>Per Bar Price</t>
  </si>
  <si>
    <t>Total Quantity</t>
  </si>
  <si>
    <t>Ct. per batch</t>
  </si>
  <si>
    <t>Type</t>
  </si>
  <si>
    <t>Arduino Nano 33 IoT</t>
  </si>
  <si>
    <t>Breakout Board</t>
  </si>
  <si>
    <t>Arduino</t>
  </si>
  <si>
    <t>Dual TB6612FNG Motor Driver</t>
  </si>
  <si>
    <t>SparkFun</t>
  </si>
  <si>
    <t>Capacitive Sensing Breakout MPR121</t>
  </si>
  <si>
    <t>Adafruit</t>
  </si>
  <si>
    <t>Pimoroni ICM20948 9-axis IMU</t>
  </si>
  <si>
    <t>DigiKey</t>
  </si>
  <si>
    <t>Micro Metal Gearmotor HPCB 6V w/ Encoder</t>
  </si>
  <si>
    <t>Motor</t>
  </si>
  <si>
    <t>Pololu</t>
  </si>
  <si>
    <t>Adafruit MPR121</t>
  </si>
  <si>
    <t>SparkFun Motor Driver</t>
  </si>
  <si>
    <t>Pololu Motor</t>
  </si>
  <si>
    <t>Discount Price</t>
  </si>
  <si>
    <t>Battery Charger</t>
  </si>
  <si>
    <t>Dupont Crimps</t>
  </si>
  <si>
    <t>JST-XH Crimps</t>
  </si>
  <si>
    <t>Ultra-flexible Silicone Wire</t>
  </si>
  <si>
    <t>End Caps</t>
  </si>
  <si>
    <t>Active Sensors</t>
  </si>
  <si>
    <t>Passive Sensors</t>
  </si>
  <si>
    <t>Socks</t>
  </si>
  <si>
    <t>LiPo Battery 220 mAh</t>
  </si>
  <si>
    <t>Power</t>
  </si>
  <si>
    <t>Amazon</t>
  </si>
  <si>
    <t>Structural</t>
  </si>
  <si>
    <t>McMaster</t>
  </si>
  <si>
    <t>1/8" Aluminum Rod, 12" Long</t>
  </si>
  <si>
    <t>4-40 Heat-Set Threaded Inserts</t>
  </si>
  <si>
    <t>Fasteners</t>
  </si>
  <si>
    <t>2-56 Heat-Set Threaded Inserts</t>
  </si>
  <si>
    <t>4-40 Socket Head Cap Screws</t>
  </si>
  <si>
    <t>2-56 Socket Head Cap Screws</t>
  </si>
  <si>
    <t>Spacers</t>
  </si>
  <si>
    <t>JST-XH 6pos connector</t>
  </si>
  <si>
    <t>Connectors</t>
  </si>
  <si>
    <t>JST-PH 2pos connector</t>
  </si>
  <si>
    <t>JST-SH 6pos connector</t>
  </si>
  <si>
    <t>4x1 right angle male header pins</t>
  </si>
  <si>
    <t>JST-XH 2pos connector</t>
  </si>
  <si>
    <t>15x1 female headers</t>
  </si>
  <si>
    <t>13x1 female headers</t>
  </si>
  <si>
    <t>8x1 female headers</t>
  </si>
  <si>
    <t>7x1 female headers</t>
  </si>
  <si>
    <t>5x1 female headers</t>
  </si>
  <si>
    <t>Solder-ends JST-PH 2pos jumper cable</t>
  </si>
  <si>
    <t>SPST Pushbutton Switch</t>
  </si>
  <si>
    <t>Pushbutton Switch</t>
  </si>
  <si>
    <t>XH 6pos connector</t>
  </si>
  <si>
    <t>PH 2pos connector</t>
  </si>
  <si>
    <t>SH 6pos connector</t>
  </si>
  <si>
    <t>4x1 right angle header pins</t>
  </si>
  <si>
    <t>XH 2pos connector</t>
  </si>
  <si>
    <t>15x1 headers</t>
  </si>
  <si>
    <t>13x1 headers</t>
  </si>
  <si>
    <t>8x1 headers</t>
  </si>
  <si>
    <t>7x1 headers</t>
  </si>
  <si>
    <t>5x1 headers</t>
  </si>
  <si>
    <t>10cm JST-SH 6pos jumper cable</t>
  </si>
  <si>
    <t>Motor cable</t>
  </si>
  <si>
    <t>ViFly</t>
  </si>
  <si>
    <t>Can charge 2 bars at a time</t>
  </si>
  <si>
    <t>Fishing Line (500 YD/100 LB)</t>
  </si>
  <si>
    <t>1/2" Black Tape</t>
  </si>
  <si>
    <t>Micro USB Right Angle Adapter (2 pack)</t>
  </si>
  <si>
    <t>Super Glue?</t>
  </si>
  <si>
    <t>Cost per Bar</t>
  </si>
  <si>
    <t>Discounted Total Cost</t>
  </si>
  <si>
    <t>One-time Supplies Cost</t>
  </si>
  <si>
    <t>PCB Subtotal</t>
  </si>
  <si>
    <t>Motor Subtotal</t>
  </si>
  <si>
    <t>Power Subtotal</t>
  </si>
  <si>
    <t>Connectors Subtotal</t>
  </si>
  <si>
    <t>Structural Subtotal</t>
  </si>
  <si>
    <t>Batches</t>
  </si>
  <si>
    <t>Bars per Robot</t>
  </si>
  <si>
    <t>Adafruit INA260 Power Meter</t>
  </si>
  <si>
    <t>INA260 Power Meter</t>
  </si>
  <si>
    <t>MOSFET N/P-CH</t>
  </si>
  <si>
    <t>AO4629 MOSFET N/P-CH</t>
  </si>
  <si>
    <t>Discount Savings</t>
  </si>
  <si>
    <t>Purchase Quanity</t>
  </si>
  <si>
    <t>4-40 Tap</t>
  </si>
  <si>
    <t>4-40 Set Screws</t>
  </si>
  <si>
    <t>Cable Guide</t>
  </si>
  <si>
    <t>Mud Hole</t>
  </si>
  <si>
    <t>Buy from DigiKey to get it without the terminal block</t>
  </si>
  <si>
    <t>Resistors</t>
  </si>
  <si>
    <t>Resistor</t>
  </si>
  <si>
    <t>For large quantities, buy Tape &amp; Reel</t>
  </si>
  <si>
    <t>Needle-nose pliers</t>
  </si>
  <si>
    <t>Tweezers</t>
  </si>
  <si>
    <t>Other wire</t>
  </si>
  <si>
    <t>Crimp Tool</t>
  </si>
  <si>
    <t>Soldering Iron</t>
  </si>
  <si>
    <t>Prusa Mk3S Printer</t>
  </si>
  <si>
    <t>Hatchbox Filament</t>
  </si>
  <si>
    <t>FormLabs Form 3 Printer</t>
  </si>
  <si>
    <t>Tough 1500 Resin</t>
  </si>
  <si>
    <t>Motor Enclosure A</t>
  </si>
  <si>
    <t>Motor Enclosure B</t>
  </si>
  <si>
    <t>Electronics Enclosure A</t>
  </si>
  <si>
    <t>Electronics Enclosure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</si>
</sst>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3" fillId="0" borderId="0" xfId="1"/>
    <xf numFmtId="8" fontId="0" fillId="0" borderId="0" xfId="0" applyNumberFormat="1"/>
    <xf numFmtId="164" fontId="0" fillId="0" borderId="0" xfId="0" applyNumberFormat="1"/>
    <xf numFmtId="6" fontId="0" fillId="0" borderId="0" xfId="0" applyNumberFormat="1"/>
    <xf numFmtId="8" fontId="4" fillId="0" borderId="0" xfId="1" applyNumberFormat="1" applyFont="1"/>
    <xf numFmtId="0" fontId="5" fillId="0" borderId="0" xfId="0" applyFont="1"/>
    <xf numFmtId="0" fontId="4" fillId="0" borderId="0" xfId="0" applyFont="1"/>
    <xf numFmtId="8" fontId="4" fillId="0" borderId="0" xfId="0" applyNumberFormat="1" applyFont="1"/>
    <xf numFmtId="8" fontId="1" fillId="0" borderId="0" xfId="0" applyNumberFormat="1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gikey.com/en/products/detail/sullins-connector-solutions/PRPC004SBAN-M71RC/2775330" TargetMode="External"/><Relationship Id="rId13" Type="http://schemas.openxmlformats.org/officeDocument/2006/relationships/hyperlink" Target="https://www.digikey.com/en/products/detail/cw-industries/GPTS203212B/3190592" TargetMode="External"/><Relationship Id="rId18" Type="http://schemas.openxmlformats.org/officeDocument/2006/relationships/hyperlink" Target="https://www.digikey.com/en/products/detail/sullins-connector-solutions/PPPC151LFBN-RC/810187" TargetMode="External"/><Relationship Id="rId26" Type="http://schemas.openxmlformats.org/officeDocument/2006/relationships/hyperlink" Target="https://www.mcmaster.com/92311A102/" TargetMode="External"/><Relationship Id="rId3" Type="http://schemas.openxmlformats.org/officeDocument/2006/relationships/hyperlink" Target="https://www.digikey.com/en/products/detail/pimoroni-ltd/PIM448/10246391" TargetMode="External"/><Relationship Id="rId21" Type="http://schemas.openxmlformats.org/officeDocument/2006/relationships/hyperlink" Target="https://www.digikey.com/en/products/detail/sullins-connector-solutions/PPPC071LFBN-RC/810179" TargetMode="External"/><Relationship Id="rId7" Type="http://schemas.openxmlformats.org/officeDocument/2006/relationships/hyperlink" Target="https://www.mcmaster.com/94459A250/" TargetMode="External"/><Relationship Id="rId12" Type="http://schemas.openxmlformats.org/officeDocument/2006/relationships/hyperlink" Target="https://www.mcmaster.com/93657A504/" TargetMode="External"/><Relationship Id="rId17" Type="http://schemas.openxmlformats.org/officeDocument/2006/relationships/hyperlink" Target="https://www.digikey.com/en/products/detail/jst-sales-america-inc/S2B-XH-A-1/9961922" TargetMode="External"/><Relationship Id="rId25" Type="http://schemas.openxmlformats.org/officeDocument/2006/relationships/hyperlink" Target="https://www.digikey.com/en/products/detail/alpha-omega-semiconductor-inc/AO4629/3152394" TargetMode="External"/><Relationship Id="rId2" Type="http://schemas.openxmlformats.org/officeDocument/2006/relationships/hyperlink" Target="https://www.adafruit.com/product/1982?gclid=Cj0KCQjw7JOpBhCfARIsAL3bobeNGhLRySadSzD2GocpEQ04yHvNeR0KLUsZlV4-W8a75PQILGp33wUaAjOYEALw_wcB" TargetMode="External"/><Relationship Id="rId16" Type="http://schemas.openxmlformats.org/officeDocument/2006/relationships/hyperlink" Target="https://www.digikey.com/en/products/detail/jst-sales-america-inc/BM06B-SRSS-TB/926698" TargetMode="External"/><Relationship Id="rId20" Type="http://schemas.openxmlformats.org/officeDocument/2006/relationships/hyperlink" Target="https://www.digikey.com/en/products/detail/sullins-connector-solutions/PPPC081LFBN-RC/810180" TargetMode="External"/><Relationship Id="rId29" Type="http://schemas.openxmlformats.org/officeDocument/2006/relationships/hyperlink" Target="https://www.digikey.com/en/products/detail/yageo/RC0603FR-071KL/726843" TargetMode="External"/><Relationship Id="rId1" Type="http://schemas.openxmlformats.org/officeDocument/2006/relationships/hyperlink" Target="https://store-usa.arduino.cc/products/arduino-nano-33-iot?gclid=CjwKCAjwwb6lBhBJEiwAbuVUSpjKLism21SpHpPJLFLVRW1Bh10-_WGEXZjh6lN1DG0xOI6oAy18pRoCkPgQAvD_BwE" TargetMode="External"/><Relationship Id="rId6" Type="http://schemas.openxmlformats.org/officeDocument/2006/relationships/hyperlink" Target="https://www.mcmaster.com/8974K19-8974K102/" TargetMode="External"/><Relationship Id="rId11" Type="http://schemas.openxmlformats.org/officeDocument/2006/relationships/hyperlink" Target="https://www.mcmaster.com/92196A088/" TargetMode="External"/><Relationship Id="rId24" Type="http://schemas.openxmlformats.org/officeDocument/2006/relationships/hyperlink" Target="https://www.amazon.com/Upgraded-Connector-Battery-Inductrix-Eachine/dp/B07NWD5NTN/ref=asc_df_B07NWD5NTN/?tag=hyprod-20&amp;linkCode=df0&amp;hvadid=693601911088&amp;hvpos=&amp;hvnetw=g&amp;hvrand=4931185322868437278&amp;hvpone=&amp;hvptwo=&amp;hvqmt=&amp;hvdev=c&amp;hvdvcmdl=&amp;hvlocint=&amp;hvlocphy=9003367&amp;hvtargid=pla-700357505001&amp;psc=1&amp;mcid=9af8815e62d23dc9aa71938bacd689ea" TargetMode="External"/><Relationship Id="rId5" Type="http://schemas.openxmlformats.org/officeDocument/2006/relationships/hyperlink" Target="https://www.amazon.com/gp/product/B08NYCY9SX/ref=ppx_yo_dt_b_search_asin_title?ie=UTF8&amp;psc=1" TargetMode="External"/><Relationship Id="rId15" Type="http://schemas.openxmlformats.org/officeDocument/2006/relationships/hyperlink" Target="https://www.digikey.com/en/products/detail/jst-sales-america-inc/S2B-PH-K-S/926626" TargetMode="External"/><Relationship Id="rId23" Type="http://schemas.openxmlformats.org/officeDocument/2006/relationships/hyperlink" Target="https://www.pololu.com/product/4765" TargetMode="External"/><Relationship Id="rId28" Type="http://schemas.openxmlformats.org/officeDocument/2006/relationships/hyperlink" Target="https://www.sparkfun.com/products/14450" TargetMode="External"/><Relationship Id="rId10" Type="http://schemas.openxmlformats.org/officeDocument/2006/relationships/hyperlink" Target="https://www.mcmaster.com/92196A108/" TargetMode="External"/><Relationship Id="rId19" Type="http://schemas.openxmlformats.org/officeDocument/2006/relationships/hyperlink" Target="https://www.digikey.com/en/products/detail/sullins-connector-solutions/PPPC131LFBN-RC/810185" TargetMode="External"/><Relationship Id="rId4" Type="http://schemas.openxmlformats.org/officeDocument/2006/relationships/hyperlink" Target="https://www.pololu.com/product/5192" TargetMode="External"/><Relationship Id="rId9" Type="http://schemas.openxmlformats.org/officeDocument/2006/relationships/hyperlink" Target="https://www.mcmaster.com/94459A240/" TargetMode="External"/><Relationship Id="rId14" Type="http://schemas.openxmlformats.org/officeDocument/2006/relationships/hyperlink" Target="https://www.digikey.com/en/products/detail/jst-sales-america-inc/S6B-XH-A/1651034" TargetMode="External"/><Relationship Id="rId22" Type="http://schemas.openxmlformats.org/officeDocument/2006/relationships/hyperlink" Target="https://www.digikey.com/en/products/detail/sullins-connector-solutions/PPPC051LFBN-RC/810177" TargetMode="External"/><Relationship Id="rId27" Type="http://schemas.openxmlformats.org/officeDocument/2006/relationships/hyperlink" Target="https://mudhole.com/products/crb-nano-micro-guides?_pos=1&amp;_psq=bnmg-1&amp;_ss=e&amp;_v=1.0&amp;variant=34099267076229" TargetMode="External"/><Relationship Id="rId30" Type="http://schemas.openxmlformats.org/officeDocument/2006/relationships/hyperlink" Target="https://www.digikey.com/en/products/detail/adafruit-industries-llc/4226/10130492?gclsrc=aw.ds&amp;&amp;utm_adgroup=&amp;utm_source=google&amp;utm_medium=cpc&amp;utm_campaign=PMax%20Shopping_Product_Low%20ROAS%20Categories&amp;utm_term=&amp;utm_content=&amp;utm_id=go_cmp-20243063506_adg-_ad-__dev-c_ext-_prd-10130492_sig-EAIaIQobChMIiu222Y6tigMV4Uf_AR06uwdaEAQYASABEgIhIfD_BwE&amp;gad_source=1&amp;gclid=EAIaIQobChMIiu222Y6tigMV4Uf_AR06uwdaEAQYASABEgIhIfD_BwE&amp;gclsrc=aw.d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EWUONU-Degree-Samsung-Tablets-Controllers/dp/B08C7LQWCX/ref=sr_1_3?crid=2QOM9U1PKGXHD&amp;dib=eyJ2IjoiMSJ9.1WVokyxtMaaxJzfwGQdNUkoeEFccU1YXqRgtks_Tt-DVRPLhoERq28cLMRYYND2MO78gPTOh2QNExjZhbrGuq7nKgFZl_V2s3HDu_pi5uPfo5DmFRXwVhdUDysW0Lh-Jb5HMGl8jwizQbwaiW7d9kxB9k0Ox_H3fQ2bOosIdslHW80HrB4H6mZzHh8mNQP6LUSyb0uClcz1rbQa2-BRSU76KqpgADHmVB4nqfoQEiSU.LLgFeZdi60V-i0mMBN77n03V_2DyBvPbNFEA3GmNuRA&amp;dib_tag=se&amp;keywords=micro+usb+right+angle&amp;qid=1729191348&amp;sprefix=micro+usb+right+angle%2Caps%2C95&amp;sr=8-3" TargetMode="External"/><Relationship Id="rId2" Type="http://schemas.openxmlformats.org/officeDocument/2006/relationships/hyperlink" Target="https://www.amazon.com/Power-Spectra-Fiber-Braided-Fishing/dp/B003D91TAA/ref=sr_1_1?crid=1YDUG2KTNQX2S&amp;keywords=power%2Bpro%2Bmicrofilament%2Bbraided%2Bfishing%2Bline%2B100lb%2Btest%2B500%2Byards&amp;qid=1694718575&amp;sprefix=power%2Bpro%2Bmicrofilament%2Bbraided%2Bfishing%2Bline%2B100lb%2Btest%2B500%2Byards%2Caps%2C67&amp;sr=8-1&amp;th=1&amp;psc=1" TargetMode="External"/><Relationship Id="rId1" Type="http://schemas.openxmlformats.org/officeDocument/2006/relationships/hyperlink" Target="https://viflydrone.com/products/vifly-toothstor-4-port-2s-balance-charger-with-storage-mode?variant=48130105639208" TargetMode="External"/><Relationship Id="rId5" Type="http://schemas.openxmlformats.org/officeDocument/2006/relationships/hyperlink" Target="https://www.amazon.com/gp/product/B0B4P5VQGH/ref=ppx_yo_dt_b_search_asin_title?ie=UTF8&amp;psc=1" TargetMode="External"/><Relationship Id="rId4" Type="http://schemas.openxmlformats.org/officeDocument/2006/relationships/hyperlink" Target="https://www.mcmaster.com/2522A71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B137-3D6F-4385-853A-277DAD5C74CE}">
  <dimension ref="A1:H2"/>
  <sheetViews>
    <sheetView workbookViewId="0">
      <selection activeCell="B2" sqref="B2"/>
    </sheetView>
  </sheetViews>
  <sheetFormatPr defaultRowHeight="15" x14ac:dyDescent="0.25"/>
  <cols>
    <col min="1" max="1" width="17" bestFit="1" customWidth="1"/>
    <col min="4" max="4" width="19.85546875" bestFit="1" customWidth="1"/>
    <col min="6" max="6" width="27.42578125" bestFit="1" customWidth="1"/>
    <col min="7" max="7" width="12.5703125" bestFit="1" customWidth="1"/>
  </cols>
  <sheetData>
    <row r="1" spans="1:8" x14ac:dyDescent="0.25">
      <c r="A1" t="s">
        <v>1</v>
      </c>
      <c r="B1">
        <v>2</v>
      </c>
      <c r="C1" s="11" t="s">
        <v>2</v>
      </c>
      <c r="D1" s="11" t="s">
        <v>3</v>
      </c>
      <c r="E1" s="11">
        <v>6</v>
      </c>
      <c r="F1" s="12" t="s">
        <v>4</v>
      </c>
      <c r="G1" s="11" t="s">
        <v>5</v>
      </c>
      <c r="H1" s="11">
        <f>MAX(B1*B2,E1)</f>
        <v>6</v>
      </c>
    </row>
    <row r="2" spans="1:8" x14ac:dyDescent="0.25">
      <c r="A2" t="s">
        <v>94</v>
      </c>
      <c r="B2">
        <v>3</v>
      </c>
      <c r="C2" s="11"/>
      <c r="D2" s="11"/>
      <c r="E2" s="11"/>
      <c r="F2" s="12"/>
      <c r="G2" s="11"/>
      <c r="H2" s="11"/>
    </row>
  </sheetData>
  <mergeCells count="6">
    <mergeCell ref="H1:H2"/>
    <mergeCell ref="C1:C2"/>
    <mergeCell ref="D1:D2"/>
    <mergeCell ref="E1:E2"/>
    <mergeCell ref="F1:F2"/>
    <mergeCell ref="G1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65363-6BEF-4CE4-BC4B-D3E5E2EA48E1}">
  <dimension ref="A1:L31"/>
  <sheetViews>
    <sheetView tabSelected="1" workbookViewId="0">
      <pane ySplit="1" topLeftCell="A2" activePane="bottomLeft" state="frozen"/>
      <selection pane="bottomLeft" activeCell="M12" sqref="M12"/>
    </sheetView>
  </sheetViews>
  <sheetFormatPr defaultRowHeight="15" x14ac:dyDescent="0.25"/>
  <cols>
    <col min="1" max="1" width="40" bestFit="1" customWidth="1"/>
    <col min="2" max="2" width="14.7109375" bestFit="1" customWidth="1"/>
    <col min="3" max="3" width="9.28515625" bestFit="1" customWidth="1"/>
    <col min="4" max="4" width="11.7109375" bestFit="1" customWidth="1"/>
    <col min="5" max="5" width="9.7109375" bestFit="1" customWidth="1"/>
    <col min="6" max="6" width="15.5703125" bestFit="1" customWidth="1"/>
    <col min="7" max="7" width="12.28515625" bestFit="1" customWidth="1"/>
    <col min="8" max="8" width="13.7109375" bestFit="1" customWidth="1"/>
    <col min="9" max="9" width="16.85546875" bestFit="1" customWidth="1"/>
    <col min="10" max="10" width="14.28515625" bestFit="1" customWidth="1"/>
    <col min="11" max="11" width="10.42578125" bestFit="1" customWidth="1"/>
    <col min="12" max="12" width="6.42578125" bestFit="1" customWidth="1"/>
  </cols>
  <sheetData>
    <row r="1" spans="1:12" s="1" customFormat="1" x14ac:dyDescent="0.25">
      <c r="A1" s="1" t="s">
        <v>6</v>
      </c>
      <c r="B1" s="1" t="s">
        <v>16</v>
      </c>
      <c r="C1" s="1" t="s">
        <v>7</v>
      </c>
      <c r="D1" s="1" t="s">
        <v>8</v>
      </c>
      <c r="E1" s="1" t="s">
        <v>9</v>
      </c>
      <c r="F1" s="1" t="s">
        <v>12</v>
      </c>
      <c r="G1" s="1" t="s">
        <v>13</v>
      </c>
      <c r="H1" s="1" t="s">
        <v>14</v>
      </c>
      <c r="I1" s="1" t="s">
        <v>100</v>
      </c>
      <c r="J1" s="1" t="s">
        <v>32</v>
      </c>
      <c r="K1" s="1" t="s">
        <v>10</v>
      </c>
      <c r="L1" s="1" t="s">
        <v>11</v>
      </c>
    </row>
    <row r="2" spans="1:12" x14ac:dyDescent="0.25">
      <c r="A2" t="s">
        <v>17</v>
      </c>
      <c r="B2" t="s">
        <v>18</v>
      </c>
      <c r="C2" s="2" t="s">
        <v>19</v>
      </c>
      <c r="D2">
        <v>1</v>
      </c>
      <c r="E2" s="3">
        <v>25.5</v>
      </c>
      <c r="F2">
        <v>1</v>
      </c>
      <c r="G2" s="3">
        <f t="shared" ref="G2:G7" si="0">CEILING(F2/D2,1)*E2</f>
        <v>25.5</v>
      </c>
      <c r="H2">
        <f>F2*Robots!$H$1</f>
        <v>6</v>
      </c>
      <c r="I2">
        <f>CEILING(H2/D2,1)</f>
        <v>6</v>
      </c>
      <c r="J2" s="3">
        <f>E2</f>
        <v>25.5</v>
      </c>
      <c r="K2" s="3">
        <f t="shared" ref="K2:K7" si="1">_xlfn.CEILING.MATH(H2/D2,1)*J2</f>
        <v>153</v>
      </c>
    </row>
    <row r="3" spans="1:12" x14ac:dyDescent="0.25">
      <c r="A3" t="s">
        <v>20</v>
      </c>
      <c r="B3" t="s">
        <v>18</v>
      </c>
      <c r="C3" s="2" t="s">
        <v>21</v>
      </c>
      <c r="D3">
        <v>1</v>
      </c>
      <c r="E3" s="3">
        <v>12.56</v>
      </c>
      <c r="F3">
        <v>1</v>
      </c>
      <c r="G3" s="3">
        <f t="shared" si="0"/>
        <v>12.56</v>
      </c>
      <c r="H3">
        <f>F3*Robots!$H$1</f>
        <v>6</v>
      </c>
      <c r="I3">
        <f t="shared" ref="I3:I31" si="2">CEILING(H3/D3,1)</f>
        <v>6</v>
      </c>
      <c r="J3" s="4">
        <f>IF(H3&lt;100,Discounts!B1,Discounts!C1)</f>
        <v>12.56</v>
      </c>
      <c r="K3" s="3">
        <f t="shared" si="1"/>
        <v>75.36</v>
      </c>
    </row>
    <row r="4" spans="1:12" x14ac:dyDescent="0.25">
      <c r="A4" t="s">
        <v>22</v>
      </c>
      <c r="B4" t="s">
        <v>18</v>
      </c>
      <c r="C4" s="2" t="s">
        <v>23</v>
      </c>
      <c r="D4">
        <v>1</v>
      </c>
      <c r="E4" s="3">
        <v>7.85</v>
      </c>
      <c r="F4">
        <v>1</v>
      </c>
      <c r="G4" s="3">
        <f t="shared" si="0"/>
        <v>7.85</v>
      </c>
      <c r="H4">
        <f>F4*Robots!$H$1</f>
        <v>6</v>
      </c>
      <c r="I4">
        <f t="shared" si="2"/>
        <v>6</v>
      </c>
      <c r="J4" s="4">
        <f>IF(H4&lt;10,Discounts!B2,IF(H4&lt;100,Discounts!C2,Discounts!D2))</f>
        <v>7.95</v>
      </c>
      <c r="K4" s="3">
        <f t="shared" si="1"/>
        <v>47.7</v>
      </c>
    </row>
    <row r="5" spans="1:12" x14ac:dyDescent="0.25">
      <c r="A5" t="s">
        <v>24</v>
      </c>
      <c r="B5" t="s">
        <v>18</v>
      </c>
      <c r="C5" s="2" t="s">
        <v>25</v>
      </c>
      <c r="D5">
        <v>1</v>
      </c>
      <c r="E5" s="3">
        <v>17.399999999999999</v>
      </c>
      <c r="F5">
        <v>1</v>
      </c>
      <c r="G5" s="3">
        <f t="shared" si="0"/>
        <v>17.399999999999999</v>
      </c>
      <c r="H5">
        <f>F5*Robots!$H$1</f>
        <v>6</v>
      </c>
      <c r="I5">
        <f t="shared" si="2"/>
        <v>6</v>
      </c>
      <c r="J5" s="3">
        <f>E5</f>
        <v>17.399999999999999</v>
      </c>
      <c r="K5" s="3">
        <f t="shared" si="1"/>
        <v>104.39999999999999</v>
      </c>
    </row>
    <row r="6" spans="1:12" x14ac:dyDescent="0.25">
      <c r="A6" t="s">
        <v>95</v>
      </c>
      <c r="B6" t="s">
        <v>18</v>
      </c>
      <c r="C6" s="2" t="s">
        <v>25</v>
      </c>
      <c r="D6">
        <v>1</v>
      </c>
      <c r="E6" s="3">
        <v>9.9499999999999993</v>
      </c>
      <c r="F6">
        <v>1</v>
      </c>
      <c r="G6" s="3">
        <f t="shared" si="0"/>
        <v>9.9499999999999993</v>
      </c>
      <c r="H6">
        <f>F6*Robots!$H$1</f>
        <v>6</v>
      </c>
      <c r="I6">
        <f t="shared" si="2"/>
        <v>6</v>
      </c>
      <c r="J6" s="4">
        <f>IF(H6&lt;10,Discounts!B17,IF(H6&lt;100,Discounts!C17,Discounts!D17))</f>
        <v>9.9499999999999993</v>
      </c>
      <c r="K6" s="3">
        <f t="shared" si="1"/>
        <v>59.699999999999996</v>
      </c>
      <c r="L6" t="s">
        <v>105</v>
      </c>
    </row>
    <row r="7" spans="1:12" x14ac:dyDescent="0.25">
      <c r="A7" t="s">
        <v>26</v>
      </c>
      <c r="B7" t="s">
        <v>27</v>
      </c>
      <c r="C7" s="2" t="s">
        <v>28</v>
      </c>
      <c r="D7">
        <v>1</v>
      </c>
      <c r="E7" s="3">
        <v>28.45</v>
      </c>
      <c r="F7">
        <v>2</v>
      </c>
      <c r="G7" s="3">
        <f t="shared" si="0"/>
        <v>56.9</v>
      </c>
      <c r="H7">
        <f>F7*Robots!$H$1</f>
        <v>12</v>
      </c>
      <c r="I7">
        <f t="shared" si="2"/>
        <v>12</v>
      </c>
      <c r="J7" s="4">
        <f>IF(H7&lt;5,Discounts!B3,IF(H7&lt;25,Discounts!C3,IF(H7&lt;100,Discounts!D3,Discounts!E3)))</f>
        <v>26.17</v>
      </c>
      <c r="K7" s="3">
        <f t="shared" si="1"/>
        <v>314.04000000000002</v>
      </c>
    </row>
    <row r="8" spans="1:12" x14ac:dyDescent="0.25">
      <c r="A8" t="s">
        <v>41</v>
      </c>
      <c r="B8" t="s">
        <v>42</v>
      </c>
      <c r="C8" s="2" t="s">
        <v>43</v>
      </c>
      <c r="D8">
        <v>6</v>
      </c>
      <c r="E8" s="3">
        <v>18.989999999999998</v>
      </c>
      <c r="F8">
        <v>4</v>
      </c>
      <c r="G8" s="3">
        <f t="shared" ref="G8:G31" si="3">CEILING(F8/D8,1)*E8</f>
        <v>18.989999999999998</v>
      </c>
      <c r="H8">
        <f>F8*Robots!$H$1</f>
        <v>24</v>
      </c>
      <c r="I8">
        <f t="shared" si="2"/>
        <v>4</v>
      </c>
      <c r="J8" s="3">
        <f>E8</f>
        <v>18.989999999999998</v>
      </c>
      <c r="K8" s="3">
        <f>_xlfn.CEILING.MATH(H8/D8,1)*J8</f>
        <v>75.959999999999994</v>
      </c>
    </row>
    <row r="9" spans="1:12" x14ac:dyDescent="0.25">
      <c r="A9" t="s">
        <v>65</v>
      </c>
      <c r="B9" t="s">
        <v>42</v>
      </c>
      <c r="C9" s="2" t="s">
        <v>25</v>
      </c>
      <c r="D9">
        <v>1</v>
      </c>
      <c r="E9" s="3">
        <v>1.87</v>
      </c>
      <c r="F9">
        <v>1</v>
      </c>
      <c r="G9" s="3">
        <f t="shared" si="3"/>
        <v>1.87</v>
      </c>
      <c r="H9">
        <f>F9*Robots!$H$1</f>
        <v>6</v>
      </c>
      <c r="I9">
        <f t="shared" si="2"/>
        <v>6</v>
      </c>
      <c r="J9" s="4">
        <f>IF(H9&lt;5,Discounts!B4,IF(H9&lt;25,Discounts!C4,IF(H9&lt;100,Discounts!D4,Discounts!E4)))</f>
        <v>1.6120000000000001</v>
      </c>
      <c r="K9" s="3">
        <f>_xlfn.CEILING.MATH(H9/D9,1)*J9</f>
        <v>9.6720000000000006</v>
      </c>
    </row>
    <row r="10" spans="1:12" x14ac:dyDescent="0.25">
      <c r="A10" t="s">
        <v>46</v>
      </c>
      <c r="B10" t="s">
        <v>44</v>
      </c>
      <c r="C10" s="2" t="s">
        <v>45</v>
      </c>
      <c r="D10">
        <v>1</v>
      </c>
      <c r="E10" s="3">
        <v>1.7</v>
      </c>
      <c r="F10">
        <v>1</v>
      </c>
      <c r="G10" s="3">
        <f t="shared" si="3"/>
        <v>1.7</v>
      </c>
      <c r="H10">
        <f>F10*Robots!$H$1</f>
        <v>6</v>
      </c>
      <c r="I10">
        <f t="shared" si="2"/>
        <v>6</v>
      </c>
      <c r="J10" s="3">
        <f t="shared" ref="J10:J15" si="4">E10</f>
        <v>1.7</v>
      </c>
      <c r="K10" s="3">
        <f>_xlfn.CEILING.MATH(H10/D10,1)*J10</f>
        <v>10.199999999999999</v>
      </c>
    </row>
    <row r="11" spans="1:12" x14ac:dyDescent="0.25">
      <c r="A11" t="s">
        <v>47</v>
      </c>
      <c r="B11" t="s">
        <v>48</v>
      </c>
      <c r="C11" s="2" t="s">
        <v>45</v>
      </c>
      <c r="D11">
        <v>50</v>
      </c>
      <c r="E11" s="3">
        <v>9.36</v>
      </c>
      <c r="F11">
        <v>10</v>
      </c>
      <c r="G11" s="3">
        <f t="shared" si="3"/>
        <v>9.36</v>
      </c>
      <c r="H11">
        <f>F11*Robots!$H$1</f>
        <v>60</v>
      </c>
      <c r="I11">
        <f t="shared" si="2"/>
        <v>2</v>
      </c>
      <c r="J11" s="3">
        <f t="shared" si="4"/>
        <v>9.36</v>
      </c>
      <c r="K11" s="3">
        <f>_xlfn.CEILING.MATH(H11/D11,1)*J11</f>
        <v>18.72</v>
      </c>
    </row>
    <row r="12" spans="1:12" x14ac:dyDescent="0.25">
      <c r="A12" t="s">
        <v>49</v>
      </c>
      <c r="B12" t="s">
        <v>48</v>
      </c>
      <c r="C12" s="2" t="s">
        <v>45</v>
      </c>
      <c r="D12">
        <v>50</v>
      </c>
      <c r="E12" s="3">
        <v>9.36</v>
      </c>
      <c r="F12">
        <v>4</v>
      </c>
      <c r="G12" s="3">
        <f t="shared" si="3"/>
        <v>9.36</v>
      </c>
      <c r="H12">
        <f>F12*Robots!$H$1</f>
        <v>24</v>
      </c>
      <c r="I12">
        <f t="shared" si="2"/>
        <v>1</v>
      </c>
      <c r="J12" s="3">
        <f t="shared" si="4"/>
        <v>9.36</v>
      </c>
      <c r="K12" s="3">
        <f t="shared" ref="K12:K31" si="5">_xlfn.CEILING.MATH(H12/D12,1)*J12</f>
        <v>9.36</v>
      </c>
    </row>
    <row r="13" spans="1:12" x14ac:dyDescent="0.25">
      <c r="A13" t="s">
        <v>50</v>
      </c>
      <c r="B13" t="s">
        <v>48</v>
      </c>
      <c r="C13" s="2" t="s">
        <v>45</v>
      </c>
      <c r="D13">
        <v>100</v>
      </c>
      <c r="E13" s="3">
        <v>5.84</v>
      </c>
      <c r="F13">
        <v>10</v>
      </c>
      <c r="G13" s="3">
        <f t="shared" si="3"/>
        <v>5.84</v>
      </c>
      <c r="H13">
        <f>F13*Robots!$H$1</f>
        <v>60</v>
      </c>
      <c r="I13">
        <f t="shared" si="2"/>
        <v>1</v>
      </c>
      <c r="J13" s="3">
        <f t="shared" si="4"/>
        <v>5.84</v>
      </c>
      <c r="K13" s="3">
        <f t="shared" si="5"/>
        <v>5.84</v>
      </c>
    </row>
    <row r="14" spans="1:12" x14ac:dyDescent="0.25">
      <c r="A14" t="s">
        <v>51</v>
      </c>
      <c r="B14" t="s">
        <v>48</v>
      </c>
      <c r="C14" s="2" t="s">
        <v>45</v>
      </c>
      <c r="D14">
        <v>100</v>
      </c>
      <c r="E14" s="3">
        <v>12.19</v>
      </c>
      <c r="F14">
        <v>4</v>
      </c>
      <c r="G14" s="3">
        <f t="shared" si="3"/>
        <v>12.19</v>
      </c>
      <c r="H14">
        <f>F14*Robots!$H$1</f>
        <v>24</v>
      </c>
      <c r="I14">
        <f t="shared" si="2"/>
        <v>1</v>
      </c>
      <c r="J14" s="3">
        <f t="shared" si="4"/>
        <v>12.19</v>
      </c>
      <c r="K14" s="3">
        <f t="shared" si="5"/>
        <v>12.19</v>
      </c>
    </row>
    <row r="15" spans="1:12" x14ac:dyDescent="0.25">
      <c r="A15" t="s">
        <v>102</v>
      </c>
      <c r="B15" t="s">
        <v>48</v>
      </c>
      <c r="C15" s="2" t="s">
        <v>45</v>
      </c>
      <c r="D15">
        <v>100</v>
      </c>
      <c r="E15" s="3">
        <v>8.27</v>
      </c>
      <c r="F15">
        <v>2</v>
      </c>
      <c r="G15" s="3">
        <f t="shared" si="3"/>
        <v>8.27</v>
      </c>
      <c r="H15">
        <f>F15*Robots!$H$1</f>
        <v>12</v>
      </c>
      <c r="I15">
        <f t="shared" si="2"/>
        <v>1</v>
      </c>
      <c r="J15" s="3">
        <f t="shared" si="4"/>
        <v>8.27</v>
      </c>
      <c r="K15" s="3">
        <f t="shared" si="5"/>
        <v>8.27</v>
      </c>
    </row>
    <row r="16" spans="1:12" x14ac:dyDescent="0.25">
      <c r="A16" t="s">
        <v>52</v>
      </c>
      <c r="B16" t="s">
        <v>48</v>
      </c>
      <c r="C16" s="2" t="s">
        <v>45</v>
      </c>
      <c r="D16">
        <v>1</v>
      </c>
      <c r="E16" s="5">
        <v>2</v>
      </c>
      <c r="F16">
        <v>2</v>
      </c>
      <c r="G16" s="3">
        <f t="shared" si="3"/>
        <v>4</v>
      </c>
      <c r="H16">
        <f>F16*Robots!$H$1</f>
        <v>12</v>
      </c>
      <c r="I16">
        <f t="shared" si="2"/>
        <v>12</v>
      </c>
      <c r="J16" s="3">
        <f>IF(H16&lt;10,Discounts!B5,Discounts!C5)</f>
        <v>1.69</v>
      </c>
      <c r="K16" s="3">
        <f t="shared" si="5"/>
        <v>20.28</v>
      </c>
    </row>
    <row r="17" spans="1:12" x14ac:dyDescent="0.25">
      <c r="A17" t="s">
        <v>53</v>
      </c>
      <c r="B17" t="s">
        <v>54</v>
      </c>
      <c r="C17" s="2" t="s">
        <v>25</v>
      </c>
      <c r="D17">
        <v>1</v>
      </c>
      <c r="E17" s="3">
        <v>0.35</v>
      </c>
      <c r="F17">
        <v>1</v>
      </c>
      <c r="G17" s="3">
        <f t="shared" si="3"/>
        <v>0.35</v>
      </c>
      <c r="H17">
        <f>F17*Robots!$H$1</f>
        <v>6</v>
      </c>
      <c r="I17">
        <f t="shared" si="2"/>
        <v>6</v>
      </c>
      <c r="J17" s="4">
        <f>IF(H17&lt;10,Discounts!B6,IF(H17&lt;100,Discounts!C6,Discounts!D6))</f>
        <v>0.35</v>
      </c>
      <c r="K17" s="3">
        <f t="shared" si="5"/>
        <v>2.0999999999999996</v>
      </c>
    </row>
    <row r="18" spans="1:12" x14ac:dyDescent="0.25">
      <c r="A18" t="s">
        <v>55</v>
      </c>
      <c r="B18" t="s">
        <v>54</v>
      </c>
      <c r="C18" s="2" t="s">
        <v>25</v>
      </c>
      <c r="D18">
        <v>1</v>
      </c>
      <c r="E18" s="3">
        <v>0.12</v>
      </c>
      <c r="F18">
        <v>4</v>
      </c>
      <c r="G18" s="3">
        <f t="shared" si="3"/>
        <v>0.48</v>
      </c>
      <c r="H18">
        <f>F18*Robots!$H$1</f>
        <v>24</v>
      </c>
      <c r="I18">
        <f t="shared" si="2"/>
        <v>24</v>
      </c>
      <c r="J18" s="4">
        <f>IF(H18&lt;10,Discounts!B7,IF(H18&lt;100,Discounts!C7,Discounts!D7))</f>
        <v>9.0999999999999998E-2</v>
      </c>
      <c r="K18" s="3">
        <f t="shared" si="5"/>
        <v>2.1840000000000002</v>
      </c>
    </row>
    <row r="19" spans="1:12" x14ac:dyDescent="0.25">
      <c r="A19" t="s">
        <v>56</v>
      </c>
      <c r="B19" t="s">
        <v>54</v>
      </c>
      <c r="C19" s="2" t="s">
        <v>25</v>
      </c>
      <c r="D19">
        <v>1</v>
      </c>
      <c r="E19" s="3">
        <v>0.83</v>
      </c>
      <c r="F19">
        <v>2</v>
      </c>
      <c r="G19" s="3">
        <f t="shared" si="3"/>
        <v>1.66</v>
      </c>
      <c r="H19">
        <f>F19*Robots!$H$1</f>
        <v>12</v>
      </c>
      <c r="I19">
        <f t="shared" si="2"/>
        <v>12</v>
      </c>
      <c r="J19" s="4">
        <f>IF(H19&lt;10,Discounts!B8,IF(H19&lt;100,Discounts!C8,Discounts!D8))</f>
        <v>0.72599999999999998</v>
      </c>
      <c r="K19" s="3">
        <f t="shared" si="5"/>
        <v>8.7119999999999997</v>
      </c>
    </row>
    <row r="20" spans="1:12" x14ac:dyDescent="0.25">
      <c r="A20" t="s">
        <v>57</v>
      </c>
      <c r="B20" t="s">
        <v>54</v>
      </c>
      <c r="C20" s="2" t="s">
        <v>25</v>
      </c>
      <c r="D20">
        <v>1</v>
      </c>
      <c r="E20" s="3">
        <v>0.48</v>
      </c>
      <c r="F20">
        <v>2</v>
      </c>
      <c r="G20" s="3">
        <f t="shared" si="3"/>
        <v>0.96</v>
      </c>
      <c r="H20">
        <f>F20*Robots!$H$1</f>
        <v>12</v>
      </c>
      <c r="I20">
        <f t="shared" si="2"/>
        <v>12</v>
      </c>
      <c r="J20" s="4">
        <f>IF(H20&lt;10,Discounts!B9,IF(H20&lt;100,Discounts!C9,Discounts!D9))</f>
        <v>0.36799999999999999</v>
      </c>
      <c r="K20" s="3">
        <f t="shared" si="5"/>
        <v>4.4160000000000004</v>
      </c>
    </row>
    <row r="21" spans="1:12" x14ac:dyDescent="0.25">
      <c r="A21" t="s">
        <v>58</v>
      </c>
      <c r="B21" t="s">
        <v>54</v>
      </c>
      <c r="C21" s="2" t="s">
        <v>25</v>
      </c>
      <c r="D21">
        <v>1</v>
      </c>
      <c r="E21" s="3">
        <v>0.21</v>
      </c>
      <c r="F21">
        <v>2</v>
      </c>
      <c r="G21" s="3">
        <f t="shared" si="3"/>
        <v>0.42</v>
      </c>
      <c r="H21">
        <f>F21*Robots!$H$1</f>
        <v>12</v>
      </c>
      <c r="I21">
        <f t="shared" si="2"/>
        <v>12</v>
      </c>
      <c r="J21" s="4">
        <f>IF(H21&lt;10,Discounts!B10,IF(H21&lt;100,Discounts!C10,Discounts!D10))</f>
        <v>0.16200000000000001</v>
      </c>
      <c r="K21" s="3">
        <f t="shared" si="5"/>
        <v>1.944</v>
      </c>
    </row>
    <row r="22" spans="1:12" x14ac:dyDescent="0.25">
      <c r="A22" t="s">
        <v>59</v>
      </c>
      <c r="B22" t="s">
        <v>54</v>
      </c>
      <c r="C22" s="2" t="s">
        <v>25</v>
      </c>
      <c r="D22">
        <v>1</v>
      </c>
      <c r="E22" s="3">
        <v>1.23</v>
      </c>
      <c r="F22">
        <v>2</v>
      </c>
      <c r="G22" s="3">
        <f t="shared" si="3"/>
        <v>2.46</v>
      </c>
      <c r="H22">
        <f>F22*Robots!$H$1</f>
        <v>12</v>
      </c>
      <c r="I22">
        <f t="shared" si="2"/>
        <v>12</v>
      </c>
      <c r="J22" s="4">
        <f>IF(H22&lt;10,Discounts!B11,IF(H22&lt;80,Discounts!C11,Discounts!D11))</f>
        <v>0.93500000000000005</v>
      </c>
      <c r="K22" s="3">
        <f t="shared" si="5"/>
        <v>11.22</v>
      </c>
    </row>
    <row r="23" spans="1:12" x14ac:dyDescent="0.25">
      <c r="A23" t="s">
        <v>60</v>
      </c>
      <c r="B23" t="s">
        <v>54</v>
      </c>
      <c r="C23" s="2" t="s">
        <v>25</v>
      </c>
      <c r="D23">
        <v>1</v>
      </c>
      <c r="E23" s="3">
        <v>1.08</v>
      </c>
      <c r="F23">
        <v>1</v>
      </c>
      <c r="G23" s="3">
        <f t="shared" si="3"/>
        <v>1.08</v>
      </c>
      <c r="H23">
        <f>F23*Robots!$H$1</f>
        <v>6</v>
      </c>
      <c r="I23">
        <f t="shared" si="2"/>
        <v>6</v>
      </c>
      <c r="J23" s="4">
        <f>IF(H23&lt;10,Discounts!B12,IF(H23&lt;80,Discounts!C12,Discounts!D12))</f>
        <v>1.08</v>
      </c>
      <c r="K23" s="3">
        <f t="shared" si="5"/>
        <v>6.48</v>
      </c>
    </row>
    <row r="24" spans="1:12" x14ac:dyDescent="0.25">
      <c r="A24" t="s">
        <v>61</v>
      </c>
      <c r="B24" t="s">
        <v>54</v>
      </c>
      <c r="C24" s="2" t="s">
        <v>25</v>
      </c>
      <c r="D24">
        <v>1</v>
      </c>
      <c r="E24" s="3">
        <v>0.78</v>
      </c>
      <c r="F24">
        <v>2</v>
      </c>
      <c r="G24" s="3">
        <f t="shared" si="3"/>
        <v>1.56</v>
      </c>
      <c r="H24">
        <f>F24*Robots!$H$1</f>
        <v>12</v>
      </c>
      <c r="I24">
        <f t="shared" si="2"/>
        <v>12</v>
      </c>
      <c r="J24" s="4">
        <f>IF(H24&lt;10,Discounts!B13,IF(H24&lt;80,Discounts!C13,Discounts!D13))</f>
        <v>0.59399999999999997</v>
      </c>
      <c r="K24" s="3">
        <f t="shared" si="5"/>
        <v>7.1280000000000001</v>
      </c>
    </row>
    <row r="25" spans="1:12" x14ac:dyDescent="0.25">
      <c r="A25" t="s">
        <v>62</v>
      </c>
      <c r="B25" t="s">
        <v>54</v>
      </c>
      <c r="C25" s="2" t="s">
        <v>25</v>
      </c>
      <c r="D25">
        <v>1</v>
      </c>
      <c r="E25" s="3">
        <v>0.71</v>
      </c>
      <c r="F25">
        <v>1</v>
      </c>
      <c r="G25" s="3">
        <f t="shared" si="3"/>
        <v>0.71</v>
      </c>
      <c r="H25">
        <f>F25*Robots!$H$1</f>
        <v>6</v>
      </c>
      <c r="I25">
        <f t="shared" si="2"/>
        <v>6</v>
      </c>
      <c r="J25" s="4">
        <f>IF(H25&lt;10,Discounts!B14,IF(H25&lt;80,Discounts!C14,Discounts!D14))</f>
        <v>0.71</v>
      </c>
      <c r="K25" s="3">
        <f t="shared" si="5"/>
        <v>4.26</v>
      </c>
    </row>
    <row r="26" spans="1:12" x14ac:dyDescent="0.25">
      <c r="A26" t="s">
        <v>63</v>
      </c>
      <c r="B26" t="s">
        <v>54</v>
      </c>
      <c r="C26" s="2" t="s">
        <v>25</v>
      </c>
      <c r="D26">
        <v>1</v>
      </c>
      <c r="E26" s="3">
        <v>0.59</v>
      </c>
      <c r="F26">
        <v>1</v>
      </c>
      <c r="G26" s="3">
        <f t="shared" si="3"/>
        <v>0.59</v>
      </c>
      <c r="H26">
        <f>F26*Robots!$H$1</f>
        <v>6</v>
      </c>
      <c r="I26">
        <f t="shared" si="2"/>
        <v>6</v>
      </c>
      <c r="J26" s="4">
        <f>IF(H26&lt;10,Discounts!B15,IF(H26&lt;80,Discounts!C15,Discounts!D15))</f>
        <v>0.59</v>
      </c>
      <c r="K26" s="3">
        <f t="shared" si="5"/>
        <v>3.54</v>
      </c>
    </row>
    <row r="27" spans="1:12" x14ac:dyDescent="0.25">
      <c r="A27" t="s">
        <v>77</v>
      </c>
      <c r="B27" t="s">
        <v>27</v>
      </c>
      <c r="C27" s="2" t="s">
        <v>28</v>
      </c>
      <c r="D27">
        <v>1</v>
      </c>
      <c r="E27" s="3">
        <v>2.19</v>
      </c>
      <c r="F27">
        <v>2</v>
      </c>
      <c r="G27" s="3">
        <f t="shared" si="3"/>
        <v>4.38</v>
      </c>
      <c r="H27">
        <f>F27*Robots!$H$1</f>
        <v>12</v>
      </c>
      <c r="I27">
        <f t="shared" si="2"/>
        <v>12</v>
      </c>
      <c r="J27" s="4">
        <f>IF(H27&lt;5,Discounts!B16,IF(H27&lt;25,Discounts!C16,Discounts!D16))</f>
        <v>2.0099999999999998</v>
      </c>
      <c r="K27" s="3">
        <f t="shared" si="5"/>
        <v>24.119999999999997</v>
      </c>
    </row>
    <row r="28" spans="1:12" x14ac:dyDescent="0.25">
      <c r="A28" t="s">
        <v>64</v>
      </c>
      <c r="B28" t="s">
        <v>42</v>
      </c>
      <c r="C28" s="2" t="s">
        <v>43</v>
      </c>
      <c r="D28">
        <v>5</v>
      </c>
      <c r="E28" s="3">
        <v>6.99</v>
      </c>
      <c r="F28">
        <v>2</v>
      </c>
      <c r="G28" s="3">
        <f t="shared" si="3"/>
        <v>6.99</v>
      </c>
      <c r="H28">
        <f>F28*Robots!$H$1</f>
        <v>12</v>
      </c>
      <c r="I28">
        <f t="shared" si="2"/>
        <v>3</v>
      </c>
      <c r="J28" s="3">
        <f>E28</f>
        <v>6.99</v>
      </c>
      <c r="K28" s="3">
        <f t="shared" si="5"/>
        <v>20.97</v>
      </c>
    </row>
    <row r="29" spans="1:12" x14ac:dyDescent="0.25">
      <c r="A29" t="s">
        <v>97</v>
      </c>
      <c r="B29" t="s">
        <v>42</v>
      </c>
      <c r="C29" s="2" t="s">
        <v>25</v>
      </c>
      <c r="D29">
        <v>1</v>
      </c>
      <c r="E29" s="3">
        <v>0.52</v>
      </c>
      <c r="F29">
        <v>3</v>
      </c>
      <c r="G29" s="3">
        <f t="shared" si="3"/>
        <v>1.56</v>
      </c>
      <c r="H29">
        <f>F29*Robots!$H$1</f>
        <v>18</v>
      </c>
      <c r="I29">
        <f t="shared" si="2"/>
        <v>18</v>
      </c>
      <c r="J29" s="4">
        <f>IF(H29&lt;10,Discounts!B18,IF(H29&lt;100,Discounts!C18,Discounts!D18))</f>
        <v>0.34799999999999998</v>
      </c>
      <c r="K29" s="3">
        <f t="shared" si="5"/>
        <v>6.2639999999999993</v>
      </c>
    </row>
    <row r="30" spans="1:12" x14ac:dyDescent="0.25">
      <c r="A30" t="s">
        <v>103</v>
      </c>
      <c r="B30" t="s">
        <v>44</v>
      </c>
      <c r="C30" s="2" t="s">
        <v>104</v>
      </c>
      <c r="D30">
        <v>1</v>
      </c>
      <c r="E30" s="3">
        <v>0.55000000000000004</v>
      </c>
      <c r="F30">
        <v>2</v>
      </c>
      <c r="G30" s="3">
        <f t="shared" si="3"/>
        <v>1.1000000000000001</v>
      </c>
      <c r="H30">
        <f>F30*Robots!$H$1</f>
        <v>12</v>
      </c>
      <c r="I30">
        <f t="shared" si="2"/>
        <v>12</v>
      </c>
      <c r="J30" s="4">
        <f>E30</f>
        <v>0.55000000000000004</v>
      </c>
      <c r="K30" s="3">
        <f t="shared" si="5"/>
        <v>6.6000000000000005</v>
      </c>
    </row>
    <row r="31" spans="1:12" x14ac:dyDescent="0.25">
      <c r="A31" t="s">
        <v>106</v>
      </c>
      <c r="B31" t="s">
        <v>42</v>
      </c>
      <c r="C31" s="2" t="s">
        <v>25</v>
      </c>
      <c r="D31">
        <v>1</v>
      </c>
      <c r="E31" s="3">
        <v>0.1</v>
      </c>
      <c r="F31">
        <v>3</v>
      </c>
      <c r="G31" s="3">
        <f t="shared" si="3"/>
        <v>0.30000000000000004</v>
      </c>
      <c r="H31">
        <f>F31*Robots!$H$1</f>
        <v>18</v>
      </c>
      <c r="I31">
        <f t="shared" si="2"/>
        <v>18</v>
      </c>
      <c r="J31" s="4">
        <f>IF(H31&lt;10,Discounts!B19,IF(H31&lt;50,Discounts!C19,IF(H31&lt;100,Discounts!D19,Discounts!E19)))</f>
        <v>1.2E-2</v>
      </c>
      <c r="K31" s="3">
        <f t="shared" si="5"/>
        <v>0.216</v>
      </c>
      <c r="L31" t="s">
        <v>108</v>
      </c>
    </row>
  </sheetData>
  <hyperlinks>
    <hyperlink ref="C2" r:id="rId1" xr:uid="{F3142433-040E-4D98-824E-C18696A434AB}"/>
    <hyperlink ref="C4" r:id="rId2" xr:uid="{6CB1C1AB-CB46-4C71-9794-1ABADD013ACF}"/>
    <hyperlink ref="C5" r:id="rId3" xr:uid="{37558DE7-9A82-46EF-A44D-F938497065E5}"/>
    <hyperlink ref="C7" r:id="rId4" xr:uid="{EEA5F791-47DF-4544-91D4-BC5C414A45CC}"/>
    <hyperlink ref="C8" r:id="rId5" xr:uid="{5E8B9C64-2446-472F-A24E-0FF953FBBF66}"/>
    <hyperlink ref="C10" r:id="rId6" xr:uid="{D85374CE-0901-4DAE-BDBD-AEE6F0329DA6}"/>
    <hyperlink ref="C11" r:id="rId7" xr:uid="{4AD2B17F-7661-4D4C-851F-80A2390EF16C}"/>
    <hyperlink ref="C20" r:id="rId8" xr:uid="{7F3E6523-15AB-491A-A846-9D484AB8FAC0}"/>
    <hyperlink ref="C12" r:id="rId9" xr:uid="{637A6C6D-3D75-493C-B4FE-7BD9C6EFE221}"/>
    <hyperlink ref="C13" r:id="rId10" xr:uid="{C3FBF4BE-81DC-4E32-9346-556F09794E2F}"/>
    <hyperlink ref="C14" r:id="rId11" xr:uid="{1F5ACB7F-A658-4FC3-B765-051698A66D14}"/>
    <hyperlink ref="C16" r:id="rId12" xr:uid="{D5E298FE-F2E1-497E-916D-AD89477ED693}"/>
    <hyperlink ref="C9" r:id="rId13" xr:uid="{448AF4D3-8431-4C53-BAFB-EBA0C4F0001E}"/>
    <hyperlink ref="C17" r:id="rId14" xr:uid="{C81DE8E1-90CF-4EE1-B86C-3F824E2CC8F9}"/>
    <hyperlink ref="C18" r:id="rId15" xr:uid="{0C772A41-4493-4991-ACBA-EE0816341FFC}"/>
    <hyperlink ref="C19" r:id="rId16" xr:uid="{34608DD4-1057-4AA9-92B2-E40FF217DE48}"/>
    <hyperlink ref="C21" r:id="rId17" xr:uid="{11E75787-BBAC-4462-AE38-038B4D647732}"/>
    <hyperlink ref="C22" r:id="rId18" xr:uid="{753B61FA-868A-41F0-892F-62C8E7AC42F4}"/>
    <hyperlink ref="C23" r:id="rId19" xr:uid="{AA3D3BED-BE79-4A08-8D5C-E8D1B2C865B1}"/>
    <hyperlink ref="C24" r:id="rId20" xr:uid="{3C981A93-07F7-4653-9B0A-FC3A3F49D485}"/>
    <hyperlink ref="C25" r:id="rId21" xr:uid="{7F89FAE0-480A-4D81-9EFC-214E9CDC7E0F}"/>
    <hyperlink ref="C26" r:id="rId22" xr:uid="{F9859B68-26C2-486C-BA68-CEFBA9E10D02}"/>
    <hyperlink ref="C27" r:id="rId23" xr:uid="{5AA71641-C76A-493F-9658-93C5263220CE}"/>
    <hyperlink ref="C28" r:id="rId24" xr:uid="{E6FC66E7-CD82-4E46-B8DA-73B244DAAC1F}"/>
    <hyperlink ref="C29" r:id="rId25" xr:uid="{40C3A4B4-379C-4C51-9B6B-581BEBD158F0}"/>
    <hyperlink ref="C15" r:id="rId26" xr:uid="{F6ADD867-E154-400D-8919-186A9406AA9E}"/>
    <hyperlink ref="C30" r:id="rId27" xr:uid="{9F9C4926-4CE8-4B7B-9F5D-A75AA662B33B}"/>
    <hyperlink ref="C3" r:id="rId28" xr:uid="{49EFE69C-8E83-4E63-B9DC-73FD5B1DB316}"/>
    <hyperlink ref="C31" r:id="rId29" xr:uid="{608B62E5-D7C0-4F3B-BE9C-170C0E7C50AA}"/>
    <hyperlink ref="C6" r:id="rId30" xr:uid="{C5D8BE07-7294-4814-B529-EB20F343C9A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E98D5-978F-44E7-A360-5DE5A0736C80}">
  <dimension ref="A1:F19"/>
  <sheetViews>
    <sheetView workbookViewId="0">
      <selection activeCell="F19" sqref="F19"/>
    </sheetView>
  </sheetViews>
  <sheetFormatPr defaultRowHeight="15" x14ac:dyDescent="0.25"/>
  <cols>
    <col min="1" max="1" width="24.85546875" bestFit="1" customWidth="1"/>
  </cols>
  <sheetData>
    <row r="1" spans="1:5" x14ac:dyDescent="0.25">
      <c r="A1" t="s">
        <v>30</v>
      </c>
      <c r="B1" s="3">
        <v>12.56</v>
      </c>
      <c r="C1" s="3">
        <v>11.86</v>
      </c>
      <c r="D1" s="3"/>
      <c r="E1" s="3"/>
    </row>
    <row r="2" spans="1:5" x14ac:dyDescent="0.25">
      <c r="A2" t="s">
        <v>29</v>
      </c>
      <c r="B2" s="3">
        <v>7.95</v>
      </c>
      <c r="C2" s="3">
        <v>7.16</v>
      </c>
      <c r="D2" s="3">
        <v>6.36</v>
      </c>
    </row>
    <row r="3" spans="1:5" x14ac:dyDescent="0.25">
      <c r="A3" t="s">
        <v>31</v>
      </c>
      <c r="B3" s="3">
        <v>28.45</v>
      </c>
      <c r="C3" s="3">
        <v>26.17</v>
      </c>
      <c r="D3" s="3">
        <v>24.08</v>
      </c>
      <c r="E3" s="3">
        <v>22.15</v>
      </c>
    </row>
    <row r="4" spans="1:5" x14ac:dyDescent="0.25">
      <c r="A4" t="s">
        <v>66</v>
      </c>
      <c r="B4" s="3">
        <v>1.87</v>
      </c>
      <c r="C4" s="3">
        <v>1.6120000000000001</v>
      </c>
      <c r="D4" s="3">
        <v>1.5204</v>
      </c>
      <c r="E4" s="3">
        <v>1.4545999999999999</v>
      </c>
    </row>
    <row r="5" spans="1:5" x14ac:dyDescent="0.25">
      <c r="A5" t="s">
        <v>52</v>
      </c>
      <c r="B5" s="5">
        <v>2</v>
      </c>
      <c r="C5" s="3">
        <v>1.69</v>
      </c>
    </row>
    <row r="6" spans="1:5" x14ac:dyDescent="0.25">
      <c r="A6" t="s">
        <v>67</v>
      </c>
      <c r="B6" s="3">
        <v>0.35</v>
      </c>
      <c r="C6" s="3">
        <v>0.26400000000000001</v>
      </c>
      <c r="D6" s="3">
        <v>0.20169999999999999</v>
      </c>
    </row>
    <row r="7" spans="1:5" x14ac:dyDescent="0.25">
      <c r="A7" t="s">
        <v>68</v>
      </c>
      <c r="B7" s="3">
        <v>0.12</v>
      </c>
      <c r="C7" s="3">
        <v>9.0999999999999998E-2</v>
      </c>
      <c r="D7" s="3">
        <v>6.9000000000000006E-2</v>
      </c>
    </row>
    <row r="8" spans="1:5" x14ac:dyDescent="0.25">
      <c r="A8" t="s">
        <v>69</v>
      </c>
      <c r="B8" s="3">
        <v>0.83</v>
      </c>
      <c r="C8" s="3">
        <v>0.72599999999999998</v>
      </c>
      <c r="D8" s="3">
        <v>0.59860000000000002</v>
      </c>
    </row>
    <row r="9" spans="1:5" x14ac:dyDescent="0.25">
      <c r="A9" t="s">
        <v>70</v>
      </c>
      <c r="B9" s="3">
        <v>0.48</v>
      </c>
      <c r="C9" s="3">
        <v>0.36799999999999999</v>
      </c>
      <c r="D9" s="3">
        <v>0.28160000000000002</v>
      </c>
    </row>
    <row r="10" spans="1:5" x14ac:dyDescent="0.25">
      <c r="A10" t="s">
        <v>71</v>
      </c>
      <c r="B10" s="3">
        <v>0.21</v>
      </c>
      <c r="C10" s="3">
        <v>0.16200000000000001</v>
      </c>
      <c r="D10" s="3">
        <v>0.12330000000000001</v>
      </c>
    </row>
    <row r="11" spans="1:5" x14ac:dyDescent="0.25">
      <c r="A11" t="s">
        <v>72</v>
      </c>
      <c r="B11" s="3">
        <v>1.23</v>
      </c>
      <c r="C11" s="3">
        <v>0.93500000000000005</v>
      </c>
      <c r="D11" s="3">
        <v>0.73699999999999999</v>
      </c>
    </row>
    <row r="12" spans="1:5" x14ac:dyDescent="0.25">
      <c r="A12" t="s">
        <v>73</v>
      </c>
      <c r="B12" s="3">
        <v>1.08</v>
      </c>
      <c r="C12" s="3">
        <v>0.82299999999999995</v>
      </c>
      <c r="D12" s="4">
        <v>0.64775000000000005</v>
      </c>
    </row>
    <row r="13" spans="1:5" x14ac:dyDescent="0.25">
      <c r="A13" t="s">
        <v>74</v>
      </c>
      <c r="B13" s="3">
        <v>0.78</v>
      </c>
      <c r="C13" s="3">
        <v>0.59399999999999997</v>
      </c>
      <c r="D13" s="3">
        <v>0.46688000000000002</v>
      </c>
    </row>
    <row r="14" spans="1:5" x14ac:dyDescent="0.25">
      <c r="A14" t="s">
        <v>75</v>
      </c>
      <c r="B14" s="3">
        <v>0.71</v>
      </c>
      <c r="C14" s="3">
        <v>0.54300000000000004</v>
      </c>
      <c r="D14" s="3">
        <v>0.42725000000000002</v>
      </c>
    </row>
    <row r="15" spans="1:5" x14ac:dyDescent="0.25">
      <c r="A15" t="s">
        <v>76</v>
      </c>
      <c r="B15" s="3">
        <v>0.59</v>
      </c>
      <c r="C15" s="3">
        <v>0.44600000000000001</v>
      </c>
      <c r="D15" s="3">
        <v>0.35038000000000002</v>
      </c>
    </row>
    <row r="16" spans="1:5" x14ac:dyDescent="0.25">
      <c r="A16" t="s">
        <v>78</v>
      </c>
      <c r="B16" s="3">
        <v>2.19</v>
      </c>
      <c r="C16" s="3">
        <v>2.0099999999999998</v>
      </c>
      <c r="D16" s="3">
        <v>1.85</v>
      </c>
    </row>
    <row r="17" spans="1:6" x14ac:dyDescent="0.25">
      <c r="A17" t="s">
        <v>96</v>
      </c>
      <c r="B17" s="3">
        <v>9.9499999999999993</v>
      </c>
      <c r="C17" s="3">
        <v>8.9600000000000009</v>
      </c>
      <c r="D17" s="3">
        <v>7.96</v>
      </c>
    </row>
    <row r="18" spans="1:6" x14ac:dyDescent="0.25">
      <c r="A18" t="s">
        <v>98</v>
      </c>
      <c r="B18" s="3">
        <v>0.52</v>
      </c>
      <c r="C18" s="3">
        <v>0.34799999999999998</v>
      </c>
      <c r="D18" s="3">
        <v>0.23649999999999999</v>
      </c>
    </row>
    <row r="19" spans="1:6" x14ac:dyDescent="0.25">
      <c r="A19" t="s">
        <v>107</v>
      </c>
      <c r="B19" s="3">
        <v>0.1</v>
      </c>
      <c r="C19" s="3">
        <v>1.2E-2</v>
      </c>
      <c r="D19" s="3">
        <v>9.5999999999999992E-3</v>
      </c>
      <c r="E19" s="3">
        <v>7.1000000000000004E-3</v>
      </c>
      <c r="F19" s="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0FCFD-E3AA-4AFD-A094-E0E8F0E440CC}">
  <dimension ref="A1:F9"/>
  <sheetViews>
    <sheetView workbookViewId="0">
      <pane ySplit="1" topLeftCell="A2" activePane="bottomLeft" state="frozen"/>
      <selection pane="bottomLeft" activeCell="A7" sqref="A7"/>
    </sheetView>
  </sheetViews>
  <sheetFormatPr defaultRowHeight="15" x14ac:dyDescent="0.25"/>
  <cols>
    <col min="1" max="1" width="21.85546875" bestFit="1" customWidth="1"/>
    <col min="2" max="2" width="12.5703125" bestFit="1" customWidth="1"/>
    <col min="3" max="3" width="15.5703125" bestFit="1" customWidth="1"/>
    <col min="4" max="4" width="13.7109375" bestFit="1" customWidth="1"/>
    <col min="5" max="5" width="8.140625" bestFit="1" customWidth="1"/>
    <col min="6" max="6" width="6.42578125" bestFit="1" customWidth="1"/>
  </cols>
  <sheetData>
    <row r="1" spans="1:6" s="1" customFormat="1" x14ac:dyDescent="0.25">
      <c r="A1" s="1" t="s">
        <v>6</v>
      </c>
      <c r="B1" s="1" t="s">
        <v>15</v>
      </c>
      <c r="C1" s="1" t="s">
        <v>12</v>
      </c>
      <c r="D1" s="1" t="s">
        <v>14</v>
      </c>
      <c r="E1" s="1" t="s">
        <v>93</v>
      </c>
      <c r="F1" s="1" t="s">
        <v>11</v>
      </c>
    </row>
    <row r="2" spans="1:6" x14ac:dyDescent="0.25">
      <c r="A2" t="s">
        <v>37</v>
      </c>
      <c r="C2">
        <v>2</v>
      </c>
      <c r="D2">
        <f>C2*Robots!$H$1</f>
        <v>12</v>
      </c>
    </row>
    <row r="3" spans="1:6" x14ac:dyDescent="0.25">
      <c r="A3" t="s">
        <v>118</v>
      </c>
      <c r="C3">
        <v>2</v>
      </c>
      <c r="D3">
        <f>C3*Robots!$H$1</f>
        <v>12</v>
      </c>
    </row>
    <row r="4" spans="1:6" x14ac:dyDescent="0.25">
      <c r="A4" t="s">
        <v>119</v>
      </c>
      <c r="C4">
        <v>2</v>
      </c>
      <c r="D4">
        <f>C4*Robots!$H$1</f>
        <v>12</v>
      </c>
    </row>
    <row r="5" spans="1:6" x14ac:dyDescent="0.25">
      <c r="A5" t="s">
        <v>120</v>
      </c>
      <c r="C5">
        <v>1</v>
      </c>
      <c r="D5">
        <f>C5*Robots!$H$1</f>
        <v>6</v>
      </c>
    </row>
    <row r="6" spans="1:6" x14ac:dyDescent="0.25">
      <c r="A6" t="s">
        <v>121</v>
      </c>
      <c r="C6">
        <v>1</v>
      </c>
      <c r="D6">
        <f>C6*Robots!$H$1</f>
        <v>6</v>
      </c>
    </row>
    <row r="7" spans="1:6" x14ac:dyDescent="0.25">
      <c r="A7" t="s">
        <v>38</v>
      </c>
      <c r="B7">
        <v>17</v>
      </c>
      <c r="C7">
        <v>2</v>
      </c>
      <c r="D7">
        <f>C7*Robots!$H$1</f>
        <v>12</v>
      </c>
      <c r="E7">
        <f>CEILING(D7/B7,1)</f>
        <v>1</v>
      </c>
    </row>
    <row r="8" spans="1:6" x14ac:dyDescent="0.25">
      <c r="A8" t="s">
        <v>39</v>
      </c>
      <c r="B8">
        <v>14</v>
      </c>
      <c r="C8">
        <v>2</v>
      </c>
      <c r="D8">
        <f>C8*Robots!$H$1</f>
        <v>12</v>
      </c>
      <c r="E8">
        <f>CEILING(D8/B8,1)</f>
        <v>1</v>
      </c>
    </row>
    <row r="9" spans="1:6" x14ac:dyDescent="0.25">
      <c r="A9" t="s">
        <v>40</v>
      </c>
      <c r="C9">
        <v>2</v>
      </c>
      <c r="D9">
        <f>C9*Robots!$H$1</f>
        <v>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ED089-3481-4C67-A339-8BB8094F4215}">
  <dimension ref="A1:F19"/>
  <sheetViews>
    <sheetView workbookViewId="0">
      <selection activeCell="A19" sqref="A19"/>
    </sheetView>
  </sheetViews>
  <sheetFormatPr defaultRowHeight="15" x14ac:dyDescent="0.25"/>
  <cols>
    <col min="1" max="1" width="35.7109375" bestFit="1" customWidth="1"/>
    <col min="2" max="2" width="9.5703125" bestFit="1" customWidth="1"/>
    <col min="3" max="3" width="9.7109375" style="8" bestFit="1" customWidth="1"/>
    <col min="4" max="4" width="13.7109375" bestFit="1" customWidth="1"/>
    <col min="5" max="5" width="10.42578125" bestFit="1" customWidth="1"/>
    <col min="6" max="6" width="6.42578125" bestFit="1" customWidth="1"/>
  </cols>
  <sheetData>
    <row r="1" spans="1:6" s="1" customFormat="1" x14ac:dyDescent="0.25">
      <c r="A1" s="1" t="s">
        <v>6</v>
      </c>
      <c r="B1" s="1" t="s">
        <v>7</v>
      </c>
      <c r="C1" s="7" t="s">
        <v>9</v>
      </c>
      <c r="D1" s="1" t="s">
        <v>14</v>
      </c>
      <c r="E1" s="1" t="s">
        <v>10</v>
      </c>
      <c r="F1" s="1" t="s">
        <v>11</v>
      </c>
    </row>
    <row r="2" spans="1:6" x14ac:dyDescent="0.25">
      <c r="A2" t="s">
        <v>33</v>
      </c>
      <c r="B2" s="2" t="s">
        <v>79</v>
      </c>
      <c r="C2" s="6">
        <v>31.99</v>
      </c>
      <c r="D2">
        <v>3</v>
      </c>
      <c r="E2" s="3">
        <f>C2*D2</f>
        <v>95.97</v>
      </c>
      <c r="F2" t="s">
        <v>80</v>
      </c>
    </row>
    <row r="3" spans="1:6" x14ac:dyDescent="0.25">
      <c r="A3" t="s">
        <v>81</v>
      </c>
      <c r="B3" s="2" t="s">
        <v>43</v>
      </c>
      <c r="C3" s="9">
        <v>65.989999999999995</v>
      </c>
      <c r="D3">
        <v>1</v>
      </c>
      <c r="E3" s="3">
        <f>C3*D3</f>
        <v>65.989999999999995</v>
      </c>
    </row>
    <row r="4" spans="1:6" x14ac:dyDescent="0.25">
      <c r="A4" t="s">
        <v>82</v>
      </c>
      <c r="B4" s="2" t="s">
        <v>43</v>
      </c>
      <c r="C4" s="9">
        <v>5.98</v>
      </c>
      <c r="D4">
        <v>1</v>
      </c>
      <c r="E4" s="3">
        <f>C4*D4</f>
        <v>5.98</v>
      </c>
    </row>
    <row r="5" spans="1:6" x14ac:dyDescent="0.25">
      <c r="A5" t="s">
        <v>83</v>
      </c>
      <c r="B5" s="2" t="s">
        <v>43</v>
      </c>
      <c r="C5" s="9">
        <v>7.99</v>
      </c>
      <c r="D5">
        <v>1</v>
      </c>
      <c r="E5" s="3">
        <f>C5*D5</f>
        <v>7.99</v>
      </c>
    </row>
    <row r="6" spans="1:6" x14ac:dyDescent="0.25">
      <c r="A6" t="s">
        <v>36</v>
      </c>
      <c r="E6" s="3">
        <f t="shared" ref="E6:E12" si="0">C6*D6</f>
        <v>0</v>
      </c>
    </row>
    <row r="7" spans="1:6" x14ac:dyDescent="0.25">
      <c r="A7" t="s">
        <v>111</v>
      </c>
      <c r="E7" s="3"/>
    </row>
    <row r="8" spans="1:6" x14ac:dyDescent="0.25">
      <c r="A8" t="s">
        <v>34</v>
      </c>
      <c r="E8" s="3">
        <f t="shared" si="0"/>
        <v>0</v>
      </c>
    </row>
    <row r="9" spans="1:6" x14ac:dyDescent="0.25">
      <c r="A9" t="s">
        <v>35</v>
      </c>
      <c r="E9" s="3">
        <f t="shared" si="0"/>
        <v>0</v>
      </c>
    </row>
    <row r="10" spans="1:6" x14ac:dyDescent="0.25">
      <c r="A10" t="s">
        <v>112</v>
      </c>
      <c r="E10" s="3"/>
    </row>
    <row r="11" spans="1:6" x14ac:dyDescent="0.25">
      <c r="A11" t="s">
        <v>84</v>
      </c>
      <c r="E11" s="3">
        <f t="shared" si="0"/>
        <v>0</v>
      </c>
    </row>
    <row r="12" spans="1:6" x14ac:dyDescent="0.25">
      <c r="A12" t="s">
        <v>101</v>
      </c>
      <c r="B12" s="2" t="s">
        <v>45</v>
      </c>
      <c r="C12" s="9">
        <v>7.67</v>
      </c>
      <c r="D12">
        <v>1</v>
      </c>
      <c r="E12" s="3">
        <f t="shared" si="0"/>
        <v>7.67</v>
      </c>
    </row>
    <row r="13" spans="1:6" x14ac:dyDescent="0.25">
      <c r="A13" t="s">
        <v>109</v>
      </c>
    </row>
    <row r="14" spans="1:6" x14ac:dyDescent="0.25">
      <c r="A14" t="s">
        <v>110</v>
      </c>
    </row>
    <row r="15" spans="1:6" x14ac:dyDescent="0.25">
      <c r="A15" t="s">
        <v>113</v>
      </c>
    </row>
    <row r="16" spans="1:6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</sheetData>
  <hyperlinks>
    <hyperlink ref="B2" r:id="rId1" xr:uid="{046E183D-BBFB-43C6-813A-275F9989144A}"/>
    <hyperlink ref="B3" r:id="rId2" xr:uid="{469EF076-9C7B-43F6-8106-CEE0C7E88E67}"/>
    <hyperlink ref="B5" r:id="rId3" xr:uid="{1C61D607-3838-41C8-9FD5-79CCB2DA7155}"/>
    <hyperlink ref="B12" r:id="rId4" xr:uid="{250DCECC-A09F-492D-B764-CD8EB8747401}"/>
    <hyperlink ref="B4" r:id="rId5" xr:uid="{C5A3ED2E-E363-4E17-A31C-9BA997A8DB1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7B821-27CF-40C0-A01F-6BD2071C65E1}">
  <dimension ref="A1:B10"/>
  <sheetViews>
    <sheetView workbookViewId="0">
      <selection activeCell="G14" sqref="G14"/>
    </sheetView>
  </sheetViews>
  <sheetFormatPr defaultRowHeight="15" x14ac:dyDescent="0.25"/>
  <cols>
    <col min="1" max="1" width="22.42578125" bestFit="1" customWidth="1"/>
    <col min="2" max="2" width="9.85546875" bestFit="1" customWidth="1"/>
  </cols>
  <sheetData>
    <row r="1" spans="1:2" x14ac:dyDescent="0.25">
      <c r="A1" t="s">
        <v>0</v>
      </c>
      <c r="B1">
        <f>Robots!H1</f>
        <v>6</v>
      </c>
    </row>
    <row r="2" spans="1:2" x14ac:dyDescent="0.25">
      <c r="A2" t="s">
        <v>85</v>
      </c>
      <c r="B2" s="3">
        <f>SUM(Components!G2:G28)</f>
        <v>223.38000000000002</v>
      </c>
    </row>
    <row r="3" spans="1:2" x14ac:dyDescent="0.25">
      <c r="A3" t="s">
        <v>86</v>
      </c>
      <c r="B3" s="10">
        <f>SUM(Components!K2:K28)</f>
        <v>1021.7660000000003</v>
      </c>
    </row>
    <row r="4" spans="1:2" x14ac:dyDescent="0.25">
      <c r="A4" t="s">
        <v>99</v>
      </c>
      <c r="B4" s="10">
        <f>B2*B1-B3</f>
        <v>318.5139999999999</v>
      </c>
    </row>
    <row r="5" spans="1:2" x14ac:dyDescent="0.25">
      <c r="A5" t="s">
        <v>87</v>
      </c>
      <c r="B5" s="3">
        <f>SUM(Supplies!E2:E11)</f>
        <v>175.92999999999998</v>
      </c>
    </row>
    <row r="6" spans="1:2" x14ac:dyDescent="0.25">
      <c r="A6" t="s">
        <v>88</v>
      </c>
      <c r="B6" s="3">
        <f>SUM(Components!K2:K6)</f>
        <v>440.15999999999997</v>
      </c>
    </row>
    <row r="7" spans="1:2" x14ac:dyDescent="0.25">
      <c r="A7" t="s">
        <v>89</v>
      </c>
      <c r="B7" s="3">
        <f>SUM(Components!K7,Components!K27)</f>
        <v>338.16</v>
      </c>
    </row>
    <row r="8" spans="1:2" x14ac:dyDescent="0.25">
      <c r="A8" t="s">
        <v>90</v>
      </c>
      <c r="B8" s="3">
        <f>SUM(Components!K8:K9,Components!K28)</f>
        <v>106.60199999999999</v>
      </c>
    </row>
    <row r="9" spans="1:2" x14ac:dyDescent="0.25">
      <c r="A9" t="s">
        <v>91</v>
      </c>
      <c r="B9" s="3">
        <f>SUM(Components!K17:K26)</f>
        <v>51.983999999999995</v>
      </c>
    </row>
    <row r="10" spans="1:2" x14ac:dyDescent="0.25">
      <c r="A10" t="s">
        <v>92</v>
      </c>
      <c r="B10" s="3">
        <f>SUM(Components!K10:K16)</f>
        <v>84.86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Robots</vt:lpstr>
      <vt:lpstr>Components</vt:lpstr>
      <vt:lpstr>Discounts</vt:lpstr>
      <vt:lpstr>In-house</vt:lpstr>
      <vt:lpstr>Supplies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Will</dc:creator>
  <cp:lastModifiedBy>Johnson, Will</cp:lastModifiedBy>
  <dcterms:created xsi:type="dcterms:W3CDTF">2024-10-17T15:25:33Z</dcterms:created>
  <dcterms:modified xsi:type="dcterms:W3CDTF">2024-12-16T20:22:38Z</dcterms:modified>
</cp:coreProperties>
</file>